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A Ejecucion Presupuestal Vigencia\"/>
    </mc:Choice>
  </mc:AlternateContent>
  <xr:revisionPtr revIDLastSave="0" documentId="13_ncr:1_{D7A105C0-D48E-4C06-A815-A0A89ED7DB70}" xr6:coauthVersionLast="47" xr6:coauthVersionMax="47" xr10:uidLastSave="{00000000-0000-0000-0000-000000000000}"/>
  <workbookProtection workbookAlgorithmName="SHA-512" workbookHashValue="7ZTRZiaqTuFJA9ZNesa9idnFO6w2YsX5Byzuwjmy/4ztulujB0l8EkhYRwAqXCzz9YUvU7sV4/4F8TI4PmeyOg==" workbookSaltValue="Jm7B3o17PIgF/fHj9mt2/Q==" workbookSpinCount="100000" lockStructure="1"/>
  <bookViews>
    <workbookView xWindow="-120" yWindow="-120" windowWidth="29040" windowHeight="15720" xr2:uid="{63C76F91-DC28-4E40-A4EC-CAB156D82BAA}"/>
  </bookViews>
  <sheets>
    <sheet name="EJECUCION PPTAL VIG 2026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<sst xmlns="http://schemas.openxmlformats.org/spreadsheetml/2006/main" count="149" uniqueCount="83">
  <si>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</si>
  <si>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</si>
  <si>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</si>
  <si>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</si>
  <si>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</si>
  <si>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</si>
  <si>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</si>
  <si>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</si>
  <si>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</si>
  <si>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</si>
  <si>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</si>
  <si>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</si>
  <si>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</si>
  <si>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</si>
  <si>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</si>
  <si>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</si>
  <si>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</si>
  <si>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</si>
  <si>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</si>
  <si>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</si>
  <si>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</si>
  <si>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</si>
  <si>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</si>
  <si>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</si>
  <si>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</si>
  <si>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</si>
  <si>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</si>
  <si>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</si>
  <si>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</si>
  <si>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</si>
  <si>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</si>
  <si>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</si>
  <si>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</si>
  <si>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</si>
  <si>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</si>
  <si>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</si>
  <si>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</si>
  <si>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</si>
  <si>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</si>
  <si>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</si>
  <si>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</si>
  <si>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</si>
  <si>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</si>
  <si>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</si>
  <si>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</si>
  <si>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</si>
  <si>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</si>
  <si>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</si>
  <si>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</si>
  <si>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</si>
  <si>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</si>
  <si>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</si>
  <si>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</si>
  <si>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</si>
  <si>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</si>
  <si>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</si>
  <si>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</si>
  <si>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</si>
  <si>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</si>
  <si>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</si>
  <si>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</si>
  <si>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</si>
  <si>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</si>
  <si>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</si>
  <si>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</si>
  <si>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</si>
  <si>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</si>
  <si>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</si>
  <si>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</si>
  <si>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</si>
  <si>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</si>
  <si>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</si>
  <si>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</si>
  <si>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</si>
  <si>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C-0212-1000-15-51202J</t>
  </si>
  <si>
    <t>VIGENCIA 2026</t>
  </si>
  <si>
    <t>C-0212-1000-12-51202J-REC10</t>
  </si>
  <si>
    <t>C-0212-1000-12-51202J-REC11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</si>
  <si>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</si>
  <si>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</si>
  <si>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REC 10</t>
  </si>
  <si>
    <t>REC 11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</si>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</sst>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2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13" fillId="0" borderId="23" xfId="0" applyFont="1" applyBorder="1" applyAlignment="1">
      <alignment vertical="center" readingOrder="1"/>
    </xf>
    <xf numFmtId="0" fontId="13" fillId="0" borderId="31" xfId="0" applyFont="1" applyBorder="1" applyAlignment="1">
      <alignment horizontal="left" vertical="center" readingOrder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pdiaz.DOMPNDA/Mis%20documentos/ADMINISTRATIVA/PERSONAL%20PLAN%20COLOMBIA/PLANTILLA%20-%20DICIEMBRE%2003.xls" TargetMode="External"/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6" sqref="B6:E6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6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91" bestFit="1" customWidth="1"/>
    <col min="20" max="20" width="17.5703125" style="92" bestFit="1" customWidth="1"/>
    <col min="21" max="21" width="13.42578125" style="93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</row>
    <row r="2" spans="1:23" ht="18" customHeight="1" x14ac:dyDescent="0.4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"/>
    </row>
    <row r="3" spans="1:23" ht="4.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4"/>
    </row>
    <row r="4" spans="1:23" s="6" customFormat="1" ht="15" customHeight="1" x14ac:dyDescent="0.3">
      <c r="A4" s="2"/>
      <c r="B4" s="155" t="s">
        <v>2</v>
      </c>
      <c r="C4" s="155"/>
      <c r="D4" s="155"/>
      <c r="E4" s="155"/>
      <c r="F4" s="156" t="s">
        <v>82</v>
      </c>
      <c r="G4" s="156"/>
      <c r="H4" s="156"/>
      <c r="I4" s="156"/>
      <c r="J4" s="156"/>
      <c r="K4" s="156"/>
      <c r="L4" s="156"/>
      <c r="M4" s="156"/>
      <c r="N4" s="156"/>
      <c r="O4" s="157"/>
      <c r="P4" s="157"/>
      <c r="Q4" s="157"/>
      <c r="R4" s="3"/>
      <c r="S4" s="158"/>
      <c r="T4" s="159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41" t="s">
        <v>75</v>
      </c>
      <c r="C6" s="142"/>
      <c r="D6" s="142"/>
      <c r="E6" s="142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59</v>
      </c>
      <c r="H8" s="23" t="s">
        <v>61</v>
      </c>
      <c r="I8" s="23" t="s">
        <v>60</v>
      </c>
      <c r="J8" s="23" t="s">
        <v>69</v>
      </c>
      <c r="K8" s="23" t="s">
        <v>62</v>
      </c>
      <c r="L8" s="23" t="s">
        <v>8</v>
      </c>
      <c r="M8" s="23" t="s">
        <v>63</v>
      </c>
      <c r="N8" s="23" t="s">
        <v>64</v>
      </c>
      <c r="O8" s="23" t="s">
        <v>9</v>
      </c>
      <c r="P8" s="23" t="s">
        <v>65</v>
      </c>
      <c r="Q8" s="23" t="s">
        <v>10</v>
      </c>
      <c r="R8" s="23" t="s">
        <v>68</v>
      </c>
      <c r="S8" s="23" t="s">
        <v>66</v>
      </c>
      <c r="T8" s="23" t="s">
        <v>11</v>
      </c>
      <c r="U8" s="23" t="s">
        <v>67</v>
      </c>
      <c r="V8" s="24"/>
      <c r="W8" s="25"/>
    </row>
    <row r="9" spans="1:23" s="29" customFormat="1" ht="16.5" customHeight="1" thickBot="1" x14ac:dyDescent="0.3">
      <c r="A9" s="26"/>
      <c r="B9" s="143" t="s">
        <v>12</v>
      </c>
      <c r="C9" s="144"/>
      <c r="D9" s="144"/>
      <c r="E9" s="144"/>
      <c r="F9" s="27">
        <f>F10+F11+F12</f>
        <v>59430000000</v>
      </c>
      <c r="G9" s="27">
        <f t="shared" ref="G9:M9" si="0">G10+G11+G12</f>
        <v>0</v>
      </c>
      <c r="H9" s="27">
        <f t="shared" si="0"/>
        <v>0</v>
      </c>
      <c r="I9" s="27">
        <f t="shared" si="0"/>
        <v>59430000000</v>
      </c>
      <c r="J9" s="27">
        <f t="shared" si="0"/>
        <v>0</v>
      </c>
      <c r="K9" s="27">
        <f t="shared" si="0"/>
        <v>59430000000</v>
      </c>
      <c r="L9" s="27">
        <f t="shared" si="0"/>
        <v>59430000000</v>
      </c>
      <c r="M9" s="27">
        <f t="shared" si="0"/>
        <v>0</v>
      </c>
      <c r="N9" s="102">
        <f>M9/K9</f>
        <v>0</v>
      </c>
      <c r="O9" s="27">
        <f t="shared" ref="O9" si="1">O10+O11+O12</f>
        <v>16313071737</v>
      </c>
      <c r="P9" s="102">
        <f>O9/K9</f>
        <v>0.27449220489651693</v>
      </c>
      <c r="Q9" s="27">
        <f t="shared" ref="Q9" si="2">Q10+Q11+Q12</f>
        <v>0</v>
      </c>
      <c r="R9" s="27">
        <f t="shared" ref="R9" si="3">R10+R11+R12</f>
        <v>16312670648</v>
      </c>
      <c r="S9" s="102">
        <f>R9/K9</f>
        <v>0.27448545596500085</v>
      </c>
      <c r="T9" s="27">
        <f t="shared" ref="T9" si="4">T10+T11+T12</f>
        <v>16312670648</v>
      </c>
      <c r="U9" s="102">
        <f>T9/K9</f>
        <v>0.27448545596500085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42136000000</v>
      </c>
      <c r="G10" s="33">
        <f>VLOOKUP(B10,'HOJA TRABAJO'!$A$2:$M$16,4,0)</f>
        <v>0</v>
      </c>
      <c r="H10" s="33">
        <f>VLOOKUP(B10,'HOJA TRABAJO'!$A$2:$M$16,5,0)</f>
        <v>0</v>
      </c>
      <c r="I10" s="33">
        <f>VLOOKUP(B10,'HOJA TRABAJO'!$A$2:$M$16,6,0)</f>
        <v>42136000000</v>
      </c>
      <c r="J10" s="33">
        <f>VLOOKUP(B10,'HOJA TRABAJO'!$A$2:$M$16,7,0)</f>
        <v>0</v>
      </c>
      <c r="K10" s="33">
        <f>I10-J10</f>
        <v>42136000000</v>
      </c>
      <c r="L10" s="33">
        <f>VLOOKUP(B10,'HOJA TRABAJO'!$A$2:$M$16,8,0)</f>
        <v>42136000000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10756273952</v>
      </c>
      <c r="P10" s="103">
        <f t="shared" ref="P10:P21" si="5">O10/K10</f>
        <v>0.25527515549648755</v>
      </c>
      <c r="Q10" s="33"/>
      <c r="R10" s="33">
        <f>VLOOKUP(B10,'HOJA TRABAJO'!$A$2:$M$16,11,0)</f>
        <v>10756273952</v>
      </c>
      <c r="S10" s="105">
        <f t="shared" ref="S10:S21" si="6">R10/K10</f>
        <v>0.25527515549648755</v>
      </c>
      <c r="T10" s="33">
        <f>VLOOKUP(B10,'HOJA TRABAJO'!$A$2:$M$16,13,0)</f>
        <v>10756273952</v>
      </c>
      <c r="U10" s="107">
        <f t="shared" ref="U10:U21" si="7">T10/K10</f>
        <v>0.25527515549648755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14536000000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14536000000</v>
      </c>
      <c r="J11" s="33">
        <f>VLOOKUP(B11,'HOJA TRABAJO'!$A$2:$M$16,7,0)</f>
        <v>0</v>
      </c>
      <c r="K11" s="33">
        <f t="shared" ref="K11:K21" si="8">I11-J11</f>
        <v>14536000000</v>
      </c>
      <c r="L11" s="33">
        <f>VLOOKUP(B11,'HOJA TRABAJO'!$A$2:$M$16,8,0)</f>
        <v>14536000000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4170129124</v>
      </c>
      <c r="P11" s="103">
        <f t="shared" si="5"/>
        <v>0.28688285112823336</v>
      </c>
      <c r="Q11" s="33"/>
      <c r="R11" s="33">
        <f>VLOOKUP(B11,'HOJA TRABAJO'!$A$2:$M$16,11,0)</f>
        <v>4170129124</v>
      </c>
      <c r="S11" s="105">
        <f t="shared" si="6"/>
        <v>0.28688285112823336</v>
      </c>
      <c r="T11" s="33">
        <f>VLOOKUP(B11,'HOJA TRABAJO'!$A$2:$M$16,13,0)</f>
        <v>4170129124</v>
      </c>
      <c r="U11" s="107">
        <f t="shared" si="7"/>
        <v>0.28688285112823336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2758000000</v>
      </c>
      <c r="G12" s="33">
        <f>VLOOKUP(B12,'HOJA TRABAJO'!$A$2:$M$16,4,0)</f>
        <v>0</v>
      </c>
      <c r="H12" s="33">
        <f>VLOOKUP(B12,'HOJA TRABAJO'!$A$2:$M$16,5,0)</f>
        <v>0</v>
      </c>
      <c r="I12" s="33">
        <f>VLOOKUP(B12,'HOJA TRABAJO'!$A$2:$M$16,6,0)</f>
        <v>2758000000</v>
      </c>
      <c r="J12" s="33">
        <f>VLOOKUP(B12,'HOJA TRABAJO'!$A$2:$M$16,7,0)</f>
        <v>0</v>
      </c>
      <c r="K12" s="33">
        <f t="shared" si="8"/>
        <v>2758000000</v>
      </c>
      <c r="L12" s="33">
        <f>VLOOKUP(B12,'HOJA TRABAJO'!$A$2:$M$16,8,0)</f>
        <v>2758000000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1386668661</v>
      </c>
      <c r="P12" s="104">
        <f t="shared" si="5"/>
        <v>0.50278051522842637</v>
      </c>
      <c r="Q12" s="33"/>
      <c r="R12" s="33">
        <f>VLOOKUP(B12,'HOJA TRABAJO'!$A$2:$M$16,11,0)</f>
        <v>1386267572</v>
      </c>
      <c r="S12" s="105">
        <f t="shared" si="6"/>
        <v>0.50263508774474253</v>
      </c>
      <c r="T12" s="33">
        <f>VLOOKUP(B12,'HOJA TRABAJO'!$A$2:$M$16,13,0)</f>
        <v>1386267572</v>
      </c>
      <c r="U12" s="107">
        <f t="shared" si="7"/>
        <v>0.50263508774474253</v>
      </c>
      <c r="V12" s="24"/>
      <c r="W12" s="28"/>
    </row>
    <row r="13" spans="1:23" s="29" customFormat="1" ht="23.25" customHeight="1" thickTop="1" thickBot="1" x14ac:dyDescent="0.3">
      <c r="A13" s="26"/>
      <c r="B13" s="145" t="s">
        <v>20</v>
      </c>
      <c r="C13" s="146"/>
      <c r="D13" s="146"/>
      <c r="E13" s="146"/>
      <c r="F13" s="38">
        <f>F14</f>
        <v>10892000000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10892000000</v>
      </c>
      <c r="J13" s="38">
        <f t="shared" si="10"/>
        <v>0</v>
      </c>
      <c r="K13" s="38">
        <f t="shared" si="10"/>
        <v>10892000000</v>
      </c>
      <c r="L13" s="38">
        <f>L14</f>
        <v>10891999999.969999</v>
      </c>
      <c r="M13" s="38">
        <f t="shared" si="10"/>
        <v>0.03</v>
      </c>
      <c r="N13" s="102">
        <f>M13/K13</f>
        <v>2.7543150936467132E-12</v>
      </c>
      <c r="O13" s="38">
        <f t="shared" si="10"/>
        <v>7664305983.25</v>
      </c>
      <c r="P13" s="102">
        <f t="shared" si="5"/>
        <v>0.70366378839974297</v>
      </c>
      <c r="Q13" s="38">
        <f t="shared" si="10"/>
        <v>2990640709.0200005</v>
      </c>
      <c r="R13" s="38">
        <f t="shared" si="10"/>
        <v>2771302290.5</v>
      </c>
      <c r="S13" s="106">
        <f t="shared" si="6"/>
        <v>0.2544346575927286</v>
      </c>
      <c r="T13" s="38">
        <f t="shared" si="10"/>
        <v>2771302290.5</v>
      </c>
      <c r="U13" s="106">
        <f t="shared" si="7"/>
        <v>0.2544346575927286</v>
      </c>
      <c r="V13" s="24"/>
      <c r="W13" s="28"/>
    </row>
    <row r="14" spans="1:23" s="29" customFormat="1" ht="16.5" thickTop="1" thickBot="1" x14ac:dyDescent="0.3">
      <c r="A14" s="26"/>
      <c r="B14" s="30" t="s">
        <v>49</v>
      </c>
      <c r="C14" s="31">
        <v>10</v>
      </c>
      <c r="D14" s="31" t="s">
        <v>14</v>
      </c>
      <c r="E14" s="32" t="s">
        <v>50</v>
      </c>
      <c r="F14" s="33">
        <f>VLOOKUP(B14,'HOJA TRABAJO'!$A$2:$M$16,3,0)</f>
        <v>10892000000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10892000000</v>
      </c>
      <c r="J14" s="33">
        <f>VLOOKUP(B14,'HOJA TRABAJO'!$A$2:$M$16,7,0)</f>
        <v>0</v>
      </c>
      <c r="K14" s="33">
        <f t="shared" si="8"/>
        <v>10892000000</v>
      </c>
      <c r="L14" s="33">
        <f>VLOOKUP(B14,'HOJA TRABAJO'!$A$2:$M$16,8,0)</f>
        <v>10891999999.969999</v>
      </c>
      <c r="M14" s="33">
        <f>VLOOKUP(B14,'HOJA TRABAJO'!$A$2:$M$16,9,0)</f>
        <v>0.03</v>
      </c>
      <c r="N14" s="103">
        <f>M14/K14</f>
        <v>2.7543150936467132E-12</v>
      </c>
      <c r="O14" s="33">
        <f>VLOOKUP(B14,'HOJA TRABAJO'!$A$2:$M$16,10,0)</f>
        <v>7664305983.25</v>
      </c>
      <c r="P14" s="34">
        <f t="shared" si="5"/>
        <v>0.70366378839974297</v>
      </c>
      <c r="Q14" s="33">
        <v>2990640709.0200005</v>
      </c>
      <c r="R14" s="33">
        <f>VLOOKUP(B14,'HOJA TRABAJO'!$A$2:$M$16,11,0)</f>
        <v>2771302290.5</v>
      </c>
      <c r="S14" s="35">
        <f t="shared" si="6"/>
        <v>0.2544346575927286</v>
      </c>
      <c r="T14" s="33">
        <f>VLOOKUP(B14,'HOJA TRABAJO'!$A$2:$M$16,13,0)</f>
        <v>2771302290.5</v>
      </c>
      <c r="U14" s="36">
        <f t="shared" si="7"/>
        <v>0.2544346575927286</v>
      </c>
      <c r="V14" s="24"/>
      <c r="W14" s="28"/>
    </row>
    <row r="15" spans="1:23" s="29" customFormat="1" ht="16.5" thickTop="1" thickBot="1" x14ac:dyDescent="0.3">
      <c r="A15" s="26"/>
      <c r="B15" s="145" t="s">
        <v>21</v>
      </c>
      <c r="C15" s="146"/>
      <c r="D15" s="146"/>
      <c r="E15" s="146"/>
      <c r="F15" s="38">
        <f>F16+F17</f>
        <v>529000000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529000000</v>
      </c>
      <c r="J15" s="38">
        <f t="shared" si="11"/>
        <v>0</v>
      </c>
      <c r="K15" s="38">
        <f t="shared" si="11"/>
        <v>529000000</v>
      </c>
      <c r="L15" s="38">
        <f t="shared" si="11"/>
        <v>396505883.67000002</v>
      </c>
      <c r="M15" s="38">
        <f t="shared" si="11"/>
        <v>132494116.33</v>
      </c>
      <c r="N15" s="102">
        <f>M15/K15</f>
        <v>0.25046146754253307</v>
      </c>
      <c r="O15" s="38">
        <f t="shared" si="11"/>
        <v>249893050.67000002</v>
      </c>
      <c r="P15" s="39">
        <f t="shared" si="5"/>
        <v>0.47238761941398871</v>
      </c>
      <c r="Q15" s="38">
        <f t="shared" si="11"/>
        <v>0</v>
      </c>
      <c r="R15" s="38">
        <f t="shared" si="11"/>
        <v>228167811.67000002</v>
      </c>
      <c r="S15" s="106">
        <f t="shared" si="6"/>
        <v>0.43131911468809075</v>
      </c>
      <c r="T15" s="38">
        <f t="shared" si="11"/>
        <v>228167811.67000002</v>
      </c>
      <c r="U15" s="106">
        <f t="shared" si="7"/>
        <v>0.43131911468809075</v>
      </c>
      <c r="V15" s="24"/>
      <c r="W15" s="28"/>
    </row>
    <row r="16" spans="1:23" s="29" customFormat="1" ht="17.25" customHeight="1" thickTop="1" x14ac:dyDescent="0.25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267000000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267000000</v>
      </c>
      <c r="J16" s="33">
        <f>VLOOKUP(B16,'HOJA TRABAJO'!$A$2:$M$16,7,0)</f>
        <v>0</v>
      </c>
      <c r="K16" s="33">
        <f t="shared" si="8"/>
        <v>267000000</v>
      </c>
      <c r="L16" s="33">
        <f>VLOOKUP(B16,'HOJA TRABAJO'!$A$2:$M$16,8,0)</f>
        <v>267000000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120387167</v>
      </c>
      <c r="P16" s="34">
        <f t="shared" si="5"/>
        <v>0.450888265917603</v>
      </c>
      <c r="Q16" s="33"/>
      <c r="R16" s="33">
        <f>VLOOKUP(B16,'HOJA TRABAJO'!$A$2:$M$16,11,0)</f>
        <v>98661928</v>
      </c>
      <c r="S16" s="35">
        <f t="shared" si="6"/>
        <v>0.36952032958801501</v>
      </c>
      <c r="T16" s="33">
        <f>VLOOKUP(B16,'HOJA TRABAJO'!$A$2:$M$16,13,0)</f>
        <v>98661928</v>
      </c>
      <c r="U16" s="36">
        <f t="shared" si="7"/>
        <v>0.36952032958801501</v>
      </c>
      <c r="V16" s="24"/>
      <c r="W16" s="28"/>
    </row>
    <row r="17" spans="1:23" s="29" customFormat="1" ht="15.75" thickBot="1" x14ac:dyDescent="0.3">
      <c r="A17" s="26"/>
      <c r="B17" s="117" t="s">
        <v>52</v>
      </c>
      <c r="C17" s="31">
        <v>10</v>
      </c>
      <c r="D17" s="31" t="s">
        <v>14</v>
      </c>
      <c r="E17" s="118" t="s">
        <v>53</v>
      </c>
      <c r="F17" s="33">
        <f>VLOOKUP(B17,'HOJA TRABAJO'!$A$2:$M$16,3,0)</f>
        <v>262000000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262000000</v>
      </c>
      <c r="J17" s="33">
        <f>VLOOKUP(B17,'HOJA TRABAJO'!$A$2:$M$16,7,0)</f>
        <v>0</v>
      </c>
      <c r="K17" s="33">
        <f t="shared" si="8"/>
        <v>262000000</v>
      </c>
      <c r="L17" s="33">
        <f>VLOOKUP(B17,'HOJA TRABAJO'!$A$2:$M$16,8,0)</f>
        <v>129505883.67</v>
      </c>
      <c r="M17" s="33">
        <f>VLOOKUP(B17,'HOJA TRABAJO'!$A$2:$M$16,9,0)</f>
        <v>132494116.33</v>
      </c>
      <c r="N17" s="103">
        <f t="shared" si="12"/>
        <v>0.50570273408396949</v>
      </c>
      <c r="O17" s="33">
        <f>VLOOKUP(B17,'HOJA TRABAJO'!$A$2:$M$16,10,0)</f>
        <v>129505883.67</v>
      </c>
      <c r="P17" s="37">
        <f t="shared" si="5"/>
        <v>0.49429726591603051</v>
      </c>
      <c r="Q17" s="33"/>
      <c r="R17" s="33">
        <f>VLOOKUP(B17,'HOJA TRABAJO'!$A$2:$M$16,11,0)</f>
        <v>129505883.67</v>
      </c>
      <c r="S17" s="35">
        <f t="shared" si="6"/>
        <v>0.49429726591603051</v>
      </c>
      <c r="T17" s="33">
        <f>VLOOKUP(B17,'HOJA TRABAJO'!$A$2:$M$16,13,0)</f>
        <v>129505883.67</v>
      </c>
      <c r="U17" s="36">
        <f t="shared" si="7"/>
        <v>0.49429726591603051</v>
      </c>
      <c r="V17" s="24"/>
      <c r="W17" s="28"/>
    </row>
    <row r="18" spans="1:23" s="29" customFormat="1" ht="16.5" customHeight="1" thickTop="1" thickBot="1" x14ac:dyDescent="0.3">
      <c r="A18" s="26"/>
      <c r="B18" s="145" t="s">
        <v>24</v>
      </c>
      <c r="C18" s="146"/>
      <c r="D18" s="146"/>
      <c r="E18" s="146"/>
      <c r="F18" s="38">
        <f>F19+F20+F21</f>
        <v>342000000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342000000</v>
      </c>
      <c r="J18" s="38">
        <f t="shared" si="13"/>
        <v>0</v>
      </c>
      <c r="K18" s="38">
        <f t="shared" si="13"/>
        <v>342000000</v>
      </c>
      <c r="L18" s="38">
        <f t="shared" si="13"/>
        <v>0</v>
      </c>
      <c r="M18" s="38">
        <f t="shared" si="13"/>
        <v>342000000</v>
      </c>
      <c r="N18" s="102">
        <f>M18/K18</f>
        <v>1</v>
      </c>
      <c r="O18" s="38">
        <f t="shared" si="13"/>
        <v>0</v>
      </c>
      <c r="P18" s="39">
        <f t="shared" si="5"/>
        <v>0</v>
      </c>
      <c r="Q18" s="38">
        <f t="shared" si="13"/>
        <v>0</v>
      </c>
      <c r="R18" s="38">
        <f t="shared" si="13"/>
        <v>0</v>
      </c>
      <c r="S18" s="106">
        <f t="shared" si="6"/>
        <v>0</v>
      </c>
      <c r="T18" s="38">
        <f t="shared" si="13"/>
        <v>0</v>
      </c>
      <c r="U18" s="106">
        <f t="shared" si="7"/>
        <v>0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16000000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16000000</v>
      </c>
      <c r="J19" s="33">
        <f>VLOOKUP(B19,'HOJA TRABAJO'!$A$2:$M$16,7,0)</f>
        <v>0</v>
      </c>
      <c r="K19" s="33">
        <f t="shared" si="8"/>
        <v>16000000</v>
      </c>
      <c r="L19" s="33">
        <f>VLOOKUP(B19,'HOJA TRABAJO'!$A$2:$M$16,8,0)</f>
        <v>0</v>
      </c>
      <c r="M19" s="33">
        <f>VLOOKUP(B19,'HOJA TRABAJO'!$A$2:$M$16,9,0)</f>
        <v>16000000</v>
      </c>
      <c r="N19" s="103">
        <f t="shared" ref="N19:N21" si="14">M19/K19</f>
        <v>1</v>
      </c>
      <c r="O19" s="33">
        <f>VLOOKUP(B19,'HOJA TRABAJO'!$A$2:$M$16,10,0)</f>
        <v>0</v>
      </c>
      <c r="P19" s="34">
        <f t="shared" si="5"/>
        <v>0</v>
      </c>
      <c r="Q19" s="33"/>
      <c r="R19" s="33">
        <f>VLOOKUP(B19,'HOJA TRABAJO'!$A$2:$M$16,11,0)</f>
        <v>0</v>
      </c>
      <c r="S19" s="35">
        <f t="shared" si="6"/>
        <v>0</v>
      </c>
      <c r="T19" s="33">
        <f>VLOOKUP(B19,'HOJA TRABAJO'!$A$2:$M$16,13,0)</f>
        <v>0</v>
      </c>
      <c r="U19" s="36">
        <f t="shared" si="7"/>
        <v>0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272000000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272000000</v>
      </c>
      <c r="J20" s="33">
        <f>VLOOKUP(B20,'HOJA TRABAJO'!$A$2:$M$16,7,0)</f>
        <v>0</v>
      </c>
      <c r="K20" s="33">
        <f t="shared" si="8"/>
        <v>272000000</v>
      </c>
      <c r="L20" s="33">
        <f>VLOOKUP(B20,'HOJA TRABAJO'!$A$2:$M$16,8,0)</f>
        <v>0</v>
      </c>
      <c r="M20" s="33">
        <f>VLOOKUP(B20,'HOJA TRABAJO'!$A$2:$M$16,9,0)</f>
        <v>272000000</v>
      </c>
      <c r="N20" s="103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0</v>
      </c>
      <c r="M21" s="43">
        <f>VLOOKUP(B21,'HOJA TRABAJO'!$A$2:$M$16,9,0)</f>
        <v>54000000</v>
      </c>
      <c r="N21" s="108">
        <f t="shared" si="14"/>
        <v>1</v>
      </c>
      <c r="O21" s="43">
        <f>VLOOKUP(B21,'HOJA TRABAJO'!$A$2:$M$16,10,0)</f>
        <v>0</v>
      </c>
      <c r="P21" s="44">
        <f t="shared" si="5"/>
        <v>0</v>
      </c>
      <c r="Q21" s="43"/>
      <c r="R21" s="43">
        <f>VLOOKUP(B21,'HOJA TRABAJO'!$A$2:$M$16,11,0)</f>
        <v>0</v>
      </c>
      <c r="S21" s="45">
        <f t="shared" si="6"/>
        <v>0</v>
      </c>
      <c r="T21" s="43">
        <f>VLOOKUP(B21,'HOJA TRABAJO'!$A$2:$M$16,13,0)</f>
        <v>0</v>
      </c>
      <c r="U21" s="46">
        <f t="shared" si="7"/>
        <v>0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f>F9+F13+F15+F18</f>
        <v>71193000000</v>
      </c>
      <c r="G23" s="59">
        <f t="shared" ref="G23:O23" si="15">G9+G13+G15+G18</f>
        <v>0</v>
      </c>
      <c r="H23" s="59">
        <f t="shared" si="15"/>
        <v>0</v>
      </c>
      <c r="I23" s="59">
        <f t="shared" si="15"/>
        <v>71193000000</v>
      </c>
      <c r="J23" s="59">
        <f t="shared" si="15"/>
        <v>0</v>
      </c>
      <c r="K23" s="59">
        <f t="shared" si="15"/>
        <v>71193000000</v>
      </c>
      <c r="L23" s="59">
        <f t="shared" si="15"/>
        <v>70718505883.639999</v>
      </c>
      <c r="M23" s="59">
        <f t="shared" si="15"/>
        <v>474494116.36000001</v>
      </c>
      <c r="N23" s="60">
        <f>M23/K23</f>
        <v>6.6648984641748486E-3</v>
      </c>
      <c r="O23" s="59">
        <f t="shared" si="15"/>
        <v>24227270770.919998</v>
      </c>
      <c r="P23" s="60">
        <f>O23/K23</f>
        <v>0.34030411376006064</v>
      </c>
      <c r="Q23" s="59">
        <v>23387462642.09</v>
      </c>
      <c r="R23" s="59">
        <f t="shared" ref="R23" si="16">R9+R13+R15+R18</f>
        <v>19312140750.169998</v>
      </c>
      <c r="S23" s="61">
        <f>R23/K23</f>
        <v>0.27126460115699574</v>
      </c>
      <c r="T23" s="59">
        <f t="shared" ref="T23" si="17">T9+T13+T15+T18</f>
        <v>19312140750.169998</v>
      </c>
      <c r="U23" s="61">
        <f>T23/K23</f>
        <v>0.27126460115699574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11" t="s">
        <v>74</v>
      </c>
      <c r="C25" s="112">
        <v>10</v>
      </c>
      <c r="D25" s="112" t="s">
        <v>14</v>
      </c>
      <c r="E25" s="111" t="s">
        <v>71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1500000000</v>
      </c>
      <c r="M25" s="113">
        <f>VLOOKUP(B25,'HOJA TRABAJO'!$A$2:$M$16,9,0)</f>
        <v>0</v>
      </c>
      <c r="N25" s="114">
        <f t="shared" ref="N25:N33" si="19">M25/K25</f>
        <v>0</v>
      </c>
      <c r="O25" s="113">
        <f>VLOOKUP(B25,'HOJA TRABAJO'!$A$2:$M$16,10,0)</f>
        <v>1303288653</v>
      </c>
      <c r="P25" s="114">
        <f t="shared" ref="P25:P33" si="20">O25/K25</f>
        <v>0.86885910200000005</v>
      </c>
      <c r="Q25" s="115"/>
      <c r="R25" s="113">
        <f>VLOOKUP(B25,'HOJA TRABAJO'!$A$2:$M$16,11,0)</f>
        <v>289151838</v>
      </c>
      <c r="S25" s="114">
        <f t="shared" ref="S25:S33" si="21">R25/K25</f>
        <v>0.192767892</v>
      </c>
      <c r="T25" s="113">
        <f>VLOOKUP(B25,'HOJA TRABAJO'!$A$2:$M$16,13,0)</f>
        <v>289151838</v>
      </c>
      <c r="U25" s="114">
        <f t="shared" ref="U25:U33" si="22">T25/K25</f>
        <v>0.192767892</v>
      </c>
      <c r="V25" s="63"/>
    </row>
    <row r="26" spans="1:23" s="64" customFormat="1" ht="90" x14ac:dyDescent="0.2">
      <c r="A26" s="62"/>
      <c r="B26" s="111" t="s">
        <v>76</v>
      </c>
      <c r="C26" s="112">
        <v>10</v>
      </c>
      <c r="D26" s="112" t="s">
        <v>14</v>
      </c>
      <c r="E26" s="111" t="s">
        <v>78</v>
      </c>
      <c r="F26" s="113">
        <f>VLOOKUP(B26,'HOJA TRABAJO'!$A$2:$M$16,3,0)</f>
        <v>45320191317</v>
      </c>
      <c r="G26" s="113">
        <f>VLOOKUP(B26,'HOJA TRABAJO'!$A$2:$M$16,4,0)</f>
        <v>0</v>
      </c>
      <c r="H26" s="113">
        <f>VLOOKUP(B26,'HOJA TRABAJO'!$A$2:$M$16,5,0)</f>
        <v>0</v>
      </c>
      <c r="I26" s="113">
        <f>VLOOKUP(B26,'HOJA TRABAJO'!$A$2:$M$16,6,0)</f>
        <v>45320191317</v>
      </c>
      <c r="J26" s="113">
        <f>VLOOKUP(B26,'HOJA TRABAJO'!$A$2:$M$16,7,0)</f>
        <v>0</v>
      </c>
      <c r="K26" s="113">
        <f t="shared" ref="K26" si="23">I26-J26</f>
        <v>45320191317</v>
      </c>
      <c r="L26" s="113">
        <f>VLOOKUP(B26,'HOJA TRABAJO'!$A$2:$M$16,8,0)</f>
        <v>45320191317</v>
      </c>
      <c r="M26" s="113">
        <f>VLOOKUP(B26,'HOJA TRABAJO'!$A$2:$M$16,9,0)</f>
        <v>0</v>
      </c>
      <c r="N26" s="114">
        <f t="shared" ref="N26" si="24">M26/K26</f>
        <v>0</v>
      </c>
      <c r="O26" s="113">
        <f>VLOOKUP(B26,'HOJA TRABAJO'!$A$2:$M$16,10,0)</f>
        <v>44743891317</v>
      </c>
      <c r="P26" s="114">
        <f t="shared" ref="P26" si="25">O26/K26</f>
        <v>0.98728381361038464</v>
      </c>
      <c r="Q26" s="115"/>
      <c r="R26" s="113">
        <f>VLOOKUP(B26,'HOJA TRABAJO'!$A$2:$M$16,11,0)</f>
        <v>1560888550</v>
      </c>
      <c r="S26" s="114">
        <f t="shared" ref="S26" si="26">R26/K26</f>
        <v>3.4441349531869628E-2</v>
      </c>
      <c r="T26" s="113">
        <f>VLOOKUP(B26,'HOJA TRABAJO'!$A$2:$M$16,13,0)</f>
        <v>1560888550</v>
      </c>
      <c r="U26" s="114">
        <f t="shared" ref="U26" si="27">T26/K26</f>
        <v>3.4441349531869628E-2</v>
      </c>
      <c r="V26" s="63"/>
    </row>
    <row r="27" spans="1:23" s="64" customFormat="1" ht="90" x14ac:dyDescent="0.2">
      <c r="A27" s="62"/>
      <c r="B27" s="111" t="s">
        <v>77</v>
      </c>
      <c r="C27" s="112">
        <v>11</v>
      </c>
      <c r="D27" s="112" t="s">
        <v>14</v>
      </c>
      <c r="E27" s="111" t="s">
        <v>73</v>
      </c>
      <c r="F27" s="113">
        <f>VLOOKUP(B27,'HOJA TRABAJO'!$A$2:$M$16,3,0)</f>
        <v>14988387958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14988387958</v>
      </c>
      <c r="J27" s="113">
        <f>VLOOKUP(B27,'HOJA TRABAJO'!$A$2:$M$16,7,0)</f>
        <v>0</v>
      </c>
      <c r="K27" s="113">
        <f t="shared" si="18"/>
        <v>14988387958</v>
      </c>
      <c r="L27" s="113">
        <f>VLOOKUP(B27,'HOJA TRABAJO'!$A$2:$M$16,8,0)</f>
        <v>14988387958</v>
      </c>
      <c r="M27" s="113">
        <f>VLOOKUP(B27,'HOJA TRABAJO'!$A$2:$M$16,9,0)</f>
        <v>0</v>
      </c>
      <c r="N27" s="114">
        <f t="shared" si="19"/>
        <v>0</v>
      </c>
      <c r="O27" s="113">
        <f>VLOOKUP(B27,'HOJA TRABAJO'!$A$2:$M$16,10,0)</f>
        <v>2291110763</v>
      </c>
      <c r="P27" s="114">
        <f t="shared" si="20"/>
        <v>0.15285905124821161</v>
      </c>
      <c r="Q27" s="115"/>
      <c r="R27" s="113">
        <f>VLOOKUP(B27,'HOJA TRABAJO'!$A$2:$M$16,11,0)</f>
        <v>568655963</v>
      </c>
      <c r="S27" s="114">
        <f t="shared" si="21"/>
        <v>3.7939768078693335E-2</v>
      </c>
      <c r="T27" s="113">
        <f>VLOOKUP(B27,'HOJA TRABAJO'!$A$2:$M$16,13,0)</f>
        <v>568655963</v>
      </c>
      <c r="U27" s="114">
        <f t="shared" si="22"/>
        <v>3.7939768078693335E-2</v>
      </c>
      <c r="V27" s="63"/>
    </row>
    <row r="28" spans="1:23" s="64" customFormat="1" ht="90" x14ac:dyDescent="0.2">
      <c r="A28" s="62"/>
      <c r="B28" s="111" t="s">
        <v>70</v>
      </c>
      <c r="C28" s="112">
        <v>10</v>
      </c>
      <c r="D28" s="112" t="s">
        <v>14</v>
      </c>
      <c r="E28" s="111" t="s">
        <v>79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5000000000</v>
      </c>
      <c r="M28" s="113">
        <f>VLOOKUP(B28,'HOJA TRABAJO'!$A$2:$M$16,9,0)</f>
        <v>0</v>
      </c>
      <c r="N28" s="114">
        <f t="shared" ref="N28" si="29">M28/K28</f>
        <v>0</v>
      </c>
      <c r="O28" s="113">
        <f>VLOOKUP(B28,'HOJA TRABAJO'!$A$2:$M$16,10,0)</f>
        <v>4862225856</v>
      </c>
      <c r="P28" s="114">
        <f t="shared" ref="P28" si="30">O28/K28</f>
        <v>0.97244517119999996</v>
      </c>
      <c r="Q28" s="115"/>
      <c r="R28" s="113">
        <f>VLOOKUP(B28,'HOJA TRABAJO'!$A$2:$M$16,11,0)</f>
        <v>1127324819</v>
      </c>
      <c r="S28" s="114">
        <f t="shared" ref="S28" si="31">R28/K28</f>
        <v>0.2254649638</v>
      </c>
      <c r="T28" s="113">
        <f>VLOOKUP(B28,'HOJA TRABAJO'!$A$2:$M$16,13,0)</f>
        <v>1127324819</v>
      </c>
      <c r="U28" s="114">
        <f t="shared" ref="U28" si="32">T28/K28</f>
        <v>0.2254649638</v>
      </c>
      <c r="V28" s="63"/>
    </row>
    <row r="29" spans="1:23" s="64" customFormat="1" ht="45" x14ac:dyDescent="0.2">
      <c r="A29" s="62"/>
      <c r="B29" s="111" t="s">
        <v>35</v>
      </c>
      <c r="C29" s="112">
        <v>10</v>
      </c>
      <c r="D29" s="112" t="s">
        <v>14</v>
      </c>
      <c r="E29" s="111" t="s">
        <v>72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40566380</v>
      </c>
      <c r="P29" s="114">
        <f t="shared" si="20"/>
        <v>2.7044253333333334E-2</v>
      </c>
      <c r="Q29" s="115"/>
      <c r="R29" s="113">
        <f>VLOOKUP(B29,'HOJA TRABAJO'!$A$2:$M$16,11,0)</f>
        <v>0</v>
      </c>
      <c r="S29" s="114">
        <f t="shared" si="21"/>
        <v>0</v>
      </c>
      <c r="T29" s="113">
        <f>VLOOKUP(B29,'HOJA TRABAJO'!$A$2:$M$16,13,0)</f>
        <v>0</v>
      </c>
      <c r="U29" s="114">
        <f t="shared" si="22"/>
        <v>0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f>SUM(F25:F29)</f>
        <v>68308579275</v>
      </c>
      <c r="G31" s="59">
        <f t="shared" ref="G31:O31" si="33">SUM(G25:G29)</f>
        <v>0</v>
      </c>
      <c r="H31" s="59">
        <f t="shared" si="33"/>
        <v>0</v>
      </c>
      <c r="I31" s="59">
        <f t="shared" si="33"/>
        <v>68308579275</v>
      </c>
      <c r="J31" s="59">
        <f t="shared" si="33"/>
        <v>0</v>
      </c>
      <c r="K31" s="59">
        <f t="shared" si="33"/>
        <v>68308579275</v>
      </c>
      <c r="L31" s="59">
        <f t="shared" si="33"/>
        <v>68308579275</v>
      </c>
      <c r="M31" s="59">
        <f t="shared" si="33"/>
        <v>0</v>
      </c>
      <c r="N31" s="109">
        <f t="shared" si="19"/>
        <v>0</v>
      </c>
      <c r="O31" s="59">
        <f t="shared" si="33"/>
        <v>53241082969</v>
      </c>
      <c r="P31" s="60">
        <f t="shared" si="20"/>
        <v>0.77942014801185455</v>
      </c>
      <c r="Q31" s="59" t="e">
        <f>#REF!+Q25+Q27+Q29</f>
        <v>#REF!</v>
      </c>
      <c r="R31" s="59">
        <f t="shared" ref="R31" si="34">SUM(R25:R29)</f>
        <v>3546021170</v>
      </c>
      <c r="S31" s="60">
        <f t="shared" si="21"/>
        <v>5.191179801477433E-2</v>
      </c>
      <c r="T31" s="59">
        <f t="shared" ref="T31" si="35">SUM(T25:T29)</f>
        <v>3546021170</v>
      </c>
      <c r="U31" s="60">
        <f t="shared" si="22"/>
        <v>5.191179801477433E-2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f>F23+F31</f>
        <v>139501579275</v>
      </c>
      <c r="G33" s="71">
        <f>G23+G31</f>
        <v>0</v>
      </c>
      <c r="H33" s="71">
        <f>H23+H31</f>
        <v>0</v>
      </c>
      <c r="I33" s="71">
        <f>I23+I31</f>
        <v>139501579275</v>
      </c>
      <c r="J33" s="71">
        <f>J31+J23</f>
        <v>0</v>
      </c>
      <c r="K33" s="71">
        <f>K31+K23</f>
        <v>139501579275</v>
      </c>
      <c r="L33" s="71">
        <f>L31+L23</f>
        <v>139027085158.64001</v>
      </c>
      <c r="M33" s="71">
        <f>M31+M23</f>
        <v>474494116.36000001</v>
      </c>
      <c r="N33" s="110">
        <f t="shared" si="19"/>
        <v>3.4013530085177596E-3</v>
      </c>
      <c r="O33" s="71">
        <f>O31+O23</f>
        <v>77468353739.919998</v>
      </c>
      <c r="P33" s="110">
        <f t="shared" si="20"/>
        <v>0.55532241385745418</v>
      </c>
      <c r="Q33" s="71" t="e">
        <f>Q31+Q23</f>
        <v>#REF!</v>
      </c>
      <c r="R33" s="71">
        <f>R31+R23</f>
        <v>22858161920.169998</v>
      </c>
      <c r="S33" s="110">
        <f t="shared" si="21"/>
        <v>0.16385593653466543</v>
      </c>
      <c r="T33" s="71">
        <f>T31+T23</f>
        <v>22858161920.169998</v>
      </c>
      <c r="U33" s="110">
        <f t="shared" si="22"/>
        <v>0.16385593653466543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x14ac:dyDescent="0.2">
      <c r="B36" s="65"/>
      <c r="C36" s="65"/>
      <c r="D36" s="65"/>
      <c r="E36" s="140"/>
      <c r="F36" s="140"/>
      <c r="G36" s="140"/>
      <c r="H36" s="140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">
      <c r="Q37" s="87"/>
      <c r="R37" s="87"/>
      <c r="S37" s="88"/>
      <c r="T37" s="89"/>
      <c r="U37" s="90"/>
    </row>
  </sheetData>
  <sheetProtection algorithmName="SHA-512" hashValue="uNx3Prvf2kNBaoUb3M21XTSp4+01sREJZR/ZWcwU2E4IRn3we419hVMNvdJHvbZB1rQpSVw5G/liGh58Fnuljw==" saltValue="YI5M3Rtd81eL7aGQc8fr2A==" spinCount="100000" sheet="1" objects="1" scenarios="1"/>
  <mergeCells count="12">
    <mergeCell ref="A1:V1"/>
    <mergeCell ref="A2:U2"/>
    <mergeCell ref="A3:V3"/>
    <mergeCell ref="B4:E4"/>
    <mergeCell ref="F4:Q4"/>
    <mergeCell ref="S4:T4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topLeftCell="B1" workbookViewId="0">
      <selection activeCell="D22" sqref="D22"/>
    </sheetView>
  </sheetViews>
  <sheetFormatPr baseColWidth="10" defaultColWidth="11.42578125" defaultRowHeight="15" x14ac:dyDescent="0.25"/>
  <cols>
    <col min="1" max="1" width="13" style="95" customWidth="1"/>
    <col min="2" max="2" width="22.5703125" style="95" customWidth="1"/>
    <col min="3" max="3" width="16.85546875" style="95" customWidth="1"/>
    <col min="4" max="5" width="15.140625" style="95" customWidth="1"/>
    <col min="6" max="6" width="17.85546875" style="95" customWidth="1"/>
    <col min="7" max="7" width="15.140625" style="95" customWidth="1"/>
    <col min="8" max="8" width="17.85546875" style="95" customWidth="1"/>
    <col min="9" max="9" width="15.140625" style="95" customWidth="1"/>
    <col min="10" max="10" width="18.85546875" style="95" customWidth="1"/>
    <col min="11" max="11" width="16.85546875" style="95" customWidth="1"/>
    <col min="12" max="12" width="16.7109375" style="95" customWidth="1"/>
    <col min="13" max="13" width="18.140625" style="95" customWidth="1"/>
    <col min="14" max="14" width="0" style="95" hidden="1" customWidth="1"/>
    <col min="15" max="15" width="6.42578125" style="95" customWidth="1"/>
    <col min="16" max="16" width="20.85546875" style="95" customWidth="1"/>
    <col min="17" max="17" width="14.85546875" style="95" customWidth="1"/>
    <col min="18" max="16384" width="11.42578125" style="95"/>
  </cols>
  <sheetData>
    <row r="1" spans="1:19" s="98" customFormat="1" ht="15.75" thickBot="1" x14ac:dyDescent="0.3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60" t="s">
        <v>56</v>
      </c>
      <c r="Q1" s="161"/>
      <c r="R1" s="95"/>
      <c r="S1" s="95"/>
    </row>
    <row r="2" spans="1:19" ht="37.15" customHeight="1" thickBot="1" x14ac:dyDescent="0.3">
      <c r="A2" s="100" t="s">
        <v>3</v>
      </c>
      <c r="B2" s="100" t="s">
        <v>37</v>
      </c>
      <c r="C2" s="123" t="s">
        <v>38</v>
      </c>
      <c r="D2" s="123" t="s">
        <v>39</v>
      </c>
      <c r="E2" s="123" t="s">
        <v>40</v>
      </c>
      <c r="F2" s="123" t="s">
        <v>41</v>
      </c>
      <c r="G2" s="123" t="s">
        <v>42</v>
      </c>
      <c r="H2" s="123" t="s">
        <v>43</v>
      </c>
      <c r="I2" s="123" t="s">
        <v>44</v>
      </c>
      <c r="J2" s="123" t="s">
        <v>45</v>
      </c>
      <c r="K2" s="123" t="s">
        <v>46</v>
      </c>
      <c r="L2" s="123" t="s">
        <v>47</v>
      </c>
      <c r="M2" s="123" t="s">
        <v>48</v>
      </c>
      <c r="P2" s="133" t="s">
        <v>57</v>
      </c>
      <c r="Q2" s="134" t="s">
        <v>58</v>
      </c>
    </row>
    <row r="3" spans="1:19" ht="20.100000000000001" customHeight="1" x14ac:dyDescent="0.25">
      <c r="A3" s="116" t="s">
        <v>13</v>
      </c>
      <c r="B3" s="135" t="s">
        <v>15</v>
      </c>
      <c r="C3" s="125">
        <v>42136000000</v>
      </c>
      <c r="D3" s="126">
        <v>0</v>
      </c>
      <c r="E3" s="126">
        <v>0</v>
      </c>
      <c r="F3" s="126">
        <v>42136000000</v>
      </c>
      <c r="G3" s="126">
        <v>0</v>
      </c>
      <c r="H3" s="126">
        <v>42136000000</v>
      </c>
      <c r="I3" s="126">
        <v>0</v>
      </c>
      <c r="J3" s="126">
        <v>10756273952</v>
      </c>
      <c r="K3" s="126">
        <v>10756273952</v>
      </c>
      <c r="L3" s="126">
        <v>10756273952</v>
      </c>
      <c r="M3" s="127">
        <v>10756273952</v>
      </c>
      <c r="P3" s="119" t="s">
        <v>13</v>
      </c>
      <c r="Q3" s="121" t="b">
        <f>P3=A3</f>
        <v>1</v>
      </c>
    </row>
    <row r="4" spans="1:19" ht="20.100000000000001" customHeight="1" x14ac:dyDescent="0.25">
      <c r="A4" s="116" t="s">
        <v>16</v>
      </c>
      <c r="B4" s="135" t="s">
        <v>17</v>
      </c>
      <c r="C4" s="128">
        <v>14536000000</v>
      </c>
      <c r="D4" s="120">
        <v>0</v>
      </c>
      <c r="E4" s="120">
        <v>0</v>
      </c>
      <c r="F4" s="120">
        <v>14536000000</v>
      </c>
      <c r="G4" s="120">
        <v>0</v>
      </c>
      <c r="H4" s="120">
        <v>14536000000</v>
      </c>
      <c r="I4" s="120">
        <v>0</v>
      </c>
      <c r="J4" s="120">
        <v>4170129124</v>
      </c>
      <c r="K4" s="120">
        <v>4170129124</v>
      </c>
      <c r="L4" s="120">
        <v>4170129124</v>
      </c>
      <c r="M4" s="129">
        <v>4170129124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25">
      <c r="A5" s="116" t="s">
        <v>18</v>
      </c>
      <c r="B5" s="135" t="s">
        <v>19</v>
      </c>
      <c r="C5" s="128">
        <v>2758000000</v>
      </c>
      <c r="D5" s="120">
        <v>0</v>
      </c>
      <c r="E5" s="120">
        <v>0</v>
      </c>
      <c r="F5" s="120">
        <v>2758000000</v>
      </c>
      <c r="G5" s="120">
        <v>0</v>
      </c>
      <c r="H5" s="120">
        <v>2758000000</v>
      </c>
      <c r="I5" s="120">
        <v>0</v>
      </c>
      <c r="J5" s="120">
        <v>1386668661</v>
      </c>
      <c r="K5" s="120">
        <v>1386267572</v>
      </c>
      <c r="L5" s="120">
        <v>1386267572</v>
      </c>
      <c r="M5" s="129">
        <v>1386267572</v>
      </c>
      <c r="P5" s="119" t="s">
        <v>18</v>
      </c>
      <c r="Q5" s="121" t="b">
        <f t="shared" si="0"/>
        <v>1</v>
      </c>
    </row>
    <row r="6" spans="1:19" ht="20.100000000000001" customHeight="1" x14ac:dyDescent="0.25">
      <c r="A6" s="116" t="s">
        <v>49</v>
      </c>
      <c r="B6" s="135" t="s">
        <v>50</v>
      </c>
      <c r="C6" s="128">
        <v>10892000000</v>
      </c>
      <c r="D6" s="120">
        <v>0</v>
      </c>
      <c r="E6" s="120">
        <v>0</v>
      </c>
      <c r="F6" s="120">
        <v>10892000000</v>
      </c>
      <c r="G6" s="120">
        <v>0</v>
      </c>
      <c r="H6" s="120">
        <v>10891999999.969999</v>
      </c>
      <c r="I6" s="120">
        <v>0.03</v>
      </c>
      <c r="J6" s="120">
        <v>7664305983.25</v>
      </c>
      <c r="K6" s="120">
        <v>2771302290.5</v>
      </c>
      <c r="L6" s="120">
        <v>2771302290.5</v>
      </c>
      <c r="M6" s="129">
        <v>2771302290.5</v>
      </c>
      <c r="P6" s="119" t="s">
        <v>49</v>
      </c>
      <c r="Q6" s="121" t="b">
        <f t="shared" si="0"/>
        <v>1</v>
      </c>
    </row>
    <row r="7" spans="1:19" ht="20.100000000000001" customHeight="1" x14ac:dyDescent="0.25">
      <c r="A7" s="116" t="s">
        <v>22</v>
      </c>
      <c r="B7" s="135" t="s">
        <v>51</v>
      </c>
      <c r="C7" s="128">
        <v>267000000</v>
      </c>
      <c r="D7" s="120">
        <v>0</v>
      </c>
      <c r="E7" s="120">
        <v>0</v>
      </c>
      <c r="F7" s="120">
        <v>267000000</v>
      </c>
      <c r="G7" s="120">
        <v>0</v>
      </c>
      <c r="H7" s="120">
        <v>267000000</v>
      </c>
      <c r="I7" s="120">
        <v>0</v>
      </c>
      <c r="J7" s="120">
        <v>120387167</v>
      </c>
      <c r="K7" s="120">
        <v>98661928</v>
      </c>
      <c r="L7" s="120">
        <v>98661928</v>
      </c>
      <c r="M7" s="129">
        <v>98661928</v>
      </c>
      <c r="P7" s="119" t="s">
        <v>22</v>
      </c>
      <c r="Q7" s="121" t="b">
        <f t="shared" si="0"/>
        <v>1</v>
      </c>
    </row>
    <row r="8" spans="1:19" ht="20.100000000000001" customHeight="1" x14ac:dyDescent="0.25">
      <c r="A8" s="116" t="s">
        <v>52</v>
      </c>
      <c r="B8" s="135" t="s">
        <v>53</v>
      </c>
      <c r="C8" s="128">
        <v>262000000</v>
      </c>
      <c r="D8" s="120">
        <v>0</v>
      </c>
      <c r="E8" s="120">
        <v>0</v>
      </c>
      <c r="F8" s="120">
        <v>262000000</v>
      </c>
      <c r="G8" s="120">
        <v>0</v>
      </c>
      <c r="H8" s="120">
        <v>129505883.67</v>
      </c>
      <c r="I8" s="120">
        <v>132494116.33</v>
      </c>
      <c r="J8" s="120">
        <v>129505883.67</v>
      </c>
      <c r="K8" s="120">
        <v>129505883.67</v>
      </c>
      <c r="L8" s="120">
        <v>129505883.67</v>
      </c>
      <c r="M8" s="129">
        <v>129505883.67</v>
      </c>
      <c r="P8" s="119" t="s">
        <v>52</v>
      </c>
      <c r="Q8" s="121" t="b">
        <f t="shared" si="0"/>
        <v>1</v>
      </c>
    </row>
    <row r="9" spans="1:19" ht="20.100000000000001" customHeight="1" x14ac:dyDescent="0.25">
      <c r="A9" s="116" t="s">
        <v>25</v>
      </c>
      <c r="B9" s="135" t="s">
        <v>26</v>
      </c>
      <c r="C9" s="128">
        <v>16000000</v>
      </c>
      <c r="D9" s="120">
        <v>0</v>
      </c>
      <c r="E9" s="120">
        <v>0</v>
      </c>
      <c r="F9" s="120">
        <v>16000000</v>
      </c>
      <c r="G9" s="120">
        <v>0</v>
      </c>
      <c r="H9" s="120">
        <v>0</v>
      </c>
      <c r="I9" s="120">
        <v>16000000</v>
      </c>
      <c r="J9" s="120">
        <v>0</v>
      </c>
      <c r="K9" s="120">
        <v>0</v>
      </c>
      <c r="L9" s="120">
        <v>0</v>
      </c>
      <c r="M9" s="129">
        <v>0</v>
      </c>
      <c r="P9" s="119" t="s">
        <v>25</v>
      </c>
      <c r="Q9" s="121" t="b">
        <f t="shared" si="0"/>
        <v>1</v>
      </c>
    </row>
    <row r="10" spans="1:19" ht="20.100000000000001" customHeight="1" x14ac:dyDescent="0.25">
      <c r="A10" s="116" t="s">
        <v>27</v>
      </c>
      <c r="B10" s="135" t="s">
        <v>29</v>
      </c>
      <c r="C10" s="128">
        <v>272000000</v>
      </c>
      <c r="D10" s="120">
        <v>0</v>
      </c>
      <c r="E10" s="120">
        <v>0</v>
      </c>
      <c r="F10" s="120">
        <v>272000000</v>
      </c>
      <c r="G10" s="120">
        <v>0</v>
      </c>
      <c r="H10" s="120">
        <v>0</v>
      </c>
      <c r="I10" s="120">
        <v>272000000</v>
      </c>
      <c r="J10" s="120">
        <v>0</v>
      </c>
      <c r="K10" s="120">
        <v>0</v>
      </c>
      <c r="L10" s="120">
        <v>0</v>
      </c>
      <c r="M10" s="129">
        <v>0</v>
      </c>
      <c r="P10" s="119" t="s">
        <v>27</v>
      </c>
      <c r="Q10" s="121" t="b">
        <f t="shared" si="0"/>
        <v>1</v>
      </c>
    </row>
    <row r="11" spans="1:19" ht="20.100000000000001" customHeight="1" x14ac:dyDescent="0.25">
      <c r="A11" s="116" t="s">
        <v>30</v>
      </c>
      <c r="B11" s="135" t="s">
        <v>31</v>
      </c>
      <c r="C11" s="128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0</v>
      </c>
      <c r="I11" s="120">
        <v>54000000</v>
      </c>
      <c r="J11" s="120">
        <v>0</v>
      </c>
      <c r="K11" s="120">
        <v>0</v>
      </c>
      <c r="L11" s="120">
        <v>0</v>
      </c>
      <c r="M11" s="129">
        <v>0</v>
      </c>
      <c r="P11" s="119" t="s">
        <v>30</v>
      </c>
      <c r="Q11" s="121" t="b">
        <f t="shared" si="0"/>
        <v>1</v>
      </c>
    </row>
    <row r="12" spans="1:19" ht="20.100000000000001" customHeight="1" x14ac:dyDescent="0.25">
      <c r="A12" s="138" t="s">
        <v>76</v>
      </c>
      <c r="B12" s="139" t="s">
        <v>54</v>
      </c>
      <c r="C12" s="128">
        <v>45320191317</v>
      </c>
      <c r="D12" s="120">
        <v>0</v>
      </c>
      <c r="E12" s="120">
        <v>0</v>
      </c>
      <c r="F12" s="120">
        <v>45320191317</v>
      </c>
      <c r="G12" s="120">
        <v>0</v>
      </c>
      <c r="H12" s="120">
        <v>45320191317</v>
      </c>
      <c r="I12" s="120">
        <v>0</v>
      </c>
      <c r="J12" s="120">
        <v>44743891317</v>
      </c>
      <c r="K12" s="120">
        <v>1560888550</v>
      </c>
      <c r="L12" s="120">
        <v>1560888550</v>
      </c>
      <c r="M12" s="129">
        <v>1560888550</v>
      </c>
      <c r="P12" s="119" t="s">
        <v>76</v>
      </c>
      <c r="Q12" s="121" t="b">
        <f t="shared" si="0"/>
        <v>1</v>
      </c>
      <c r="R12" s="95" t="s">
        <v>80</v>
      </c>
    </row>
    <row r="13" spans="1:19" ht="20.100000000000001" customHeight="1" x14ac:dyDescent="0.25">
      <c r="A13" s="138" t="s">
        <v>77</v>
      </c>
      <c r="B13" s="136" t="s">
        <v>54</v>
      </c>
      <c r="C13" s="128">
        <v>14988387958</v>
      </c>
      <c r="D13" s="120">
        <v>0</v>
      </c>
      <c r="E13" s="120">
        <v>0</v>
      </c>
      <c r="F13" s="120">
        <v>14988387958</v>
      </c>
      <c r="G13" s="120">
        <v>0</v>
      </c>
      <c r="H13" s="120">
        <v>14988387958</v>
      </c>
      <c r="I13" s="120">
        <v>0</v>
      </c>
      <c r="J13" s="120">
        <v>2291110763</v>
      </c>
      <c r="K13" s="120">
        <v>568655963</v>
      </c>
      <c r="L13" s="120">
        <v>568655963</v>
      </c>
      <c r="M13" s="129">
        <v>568655963</v>
      </c>
      <c r="P13" s="119" t="s">
        <v>77</v>
      </c>
      <c r="Q13" s="121" t="b">
        <f t="shared" si="0"/>
        <v>1</v>
      </c>
      <c r="R13" s="95" t="s">
        <v>81</v>
      </c>
    </row>
    <row r="14" spans="1:19" ht="20.100000000000001" customHeight="1" x14ac:dyDescent="0.25">
      <c r="A14" s="137" t="s">
        <v>70</v>
      </c>
      <c r="B14" s="139" t="s">
        <v>54</v>
      </c>
      <c r="C14" s="128">
        <v>5000000000</v>
      </c>
      <c r="D14" s="120">
        <v>0</v>
      </c>
      <c r="E14" s="120">
        <v>0</v>
      </c>
      <c r="F14" s="120">
        <v>5000000000</v>
      </c>
      <c r="G14" s="120">
        <v>0</v>
      </c>
      <c r="H14" s="120">
        <v>5000000000</v>
      </c>
      <c r="I14" s="120">
        <v>0</v>
      </c>
      <c r="J14" s="120">
        <v>4862225856</v>
      </c>
      <c r="K14" s="120">
        <v>1127324819</v>
      </c>
      <c r="L14" s="120">
        <v>1127324819</v>
      </c>
      <c r="M14" s="129">
        <v>1127324819</v>
      </c>
      <c r="P14" s="119" t="s">
        <v>70</v>
      </c>
      <c r="Q14" s="121" t="b">
        <f t="shared" si="0"/>
        <v>1</v>
      </c>
    </row>
    <row r="15" spans="1:19" ht="20.100000000000001" customHeight="1" x14ac:dyDescent="0.25">
      <c r="A15" s="138" t="s">
        <v>74</v>
      </c>
      <c r="B15" s="135" t="s">
        <v>54</v>
      </c>
      <c r="C15" s="128">
        <v>1500000000</v>
      </c>
      <c r="D15" s="120">
        <v>0</v>
      </c>
      <c r="E15" s="120">
        <v>0</v>
      </c>
      <c r="F15" s="120">
        <v>1500000000</v>
      </c>
      <c r="G15" s="120">
        <v>0</v>
      </c>
      <c r="H15" s="120">
        <v>1500000000</v>
      </c>
      <c r="I15" s="120">
        <v>0</v>
      </c>
      <c r="J15" s="120">
        <v>1303288653</v>
      </c>
      <c r="K15" s="120">
        <v>289151838</v>
      </c>
      <c r="L15" s="120">
        <v>289151838</v>
      </c>
      <c r="M15" s="129">
        <v>289151838</v>
      </c>
      <c r="P15" s="119" t="s">
        <v>74</v>
      </c>
      <c r="Q15" s="121" t="b">
        <f t="shared" si="0"/>
        <v>1</v>
      </c>
    </row>
    <row r="16" spans="1:19" ht="20.100000000000001" customHeight="1" x14ac:dyDescent="0.25">
      <c r="A16" s="137" t="s">
        <v>35</v>
      </c>
      <c r="B16" s="135" t="s">
        <v>55</v>
      </c>
      <c r="C16" s="128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40566380</v>
      </c>
      <c r="K16" s="120">
        <v>0</v>
      </c>
      <c r="L16" s="120">
        <v>0</v>
      </c>
      <c r="M16" s="129">
        <v>0</v>
      </c>
      <c r="P16" s="119" t="s">
        <v>35</v>
      </c>
      <c r="Q16" s="121" t="b">
        <f t="shared" si="0"/>
        <v>1</v>
      </c>
    </row>
    <row r="17" spans="1:16" ht="20.100000000000001" customHeight="1" thickBot="1" x14ac:dyDescent="0.3">
      <c r="A17" s="116" t="s">
        <v>36</v>
      </c>
      <c r="B17" s="122" t="s">
        <v>36</v>
      </c>
      <c r="C17" s="130">
        <v>139501579275</v>
      </c>
      <c r="D17" s="131">
        <v>0</v>
      </c>
      <c r="E17" s="131">
        <v>0</v>
      </c>
      <c r="F17" s="131">
        <v>139501579275</v>
      </c>
      <c r="G17" s="131">
        <v>0</v>
      </c>
      <c r="H17" s="131">
        <v>139027085158.64001</v>
      </c>
      <c r="I17" s="131">
        <v>474494116.36000103</v>
      </c>
      <c r="J17" s="131">
        <v>77468353739.919998</v>
      </c>
      <c r="K17" s="131">
        <v>22858161920.169998</v>
      </c>
      <c r="L17" s="131">
        <v>22858161920.169998</v>
      </c>
      <c r="M17" s="132">
        <v>22858161920.169998</v>
      </c>
      <c r="P17" s="119"/>
    </row>
    <row r="18" spans="1:16" x14ac:dyDescent="0.25">
      <c r="A18" s="97" t="s">
        <v>36</v>
      </c>
      <c r="B18" s="96" t="s">
        <v>36</v>
      </c>
      <c r="C18" s="124" t="s">
        <v>36</v>
      </c>
      <c r="D18" s="124" t="s">
        <v>36</v>
      </c>
      <c r="E18" s="124" t="s">
        <v>36</v>
      </c>
      <c r="F18" s="124" t="s">
        <v>36</v>
      </c>
      <c r="G18" s="124" t="s">
        <v>36</v>
      </c>
      <c r="H18" s="124" t="s">
        <v>36</v>
      </c>
      <c r="I18" s="124" t="s">
        <v>36</v>
      </c>
      <c r="J18" s="124" t="s">
        <v>36</v>
      </c>
      <c r="K18" s="124" t="s">
        <v>36</v>
      </c>
      <c r="L18" s="124" t="s">
        <v>36</v>
      </c>
      <c r="M18" s="124" t="s">
        <v>36</v>
      </c>
    </row>
    <row r="19" spans="1:16" ht="33.950000000000003" customHeight="1" x14ac:dyDescent="0.25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2026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2026-05-04T15:24:48Z</dcterms:modified>
</cp:coreProperties>
</file>